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report_output (54)" sheetId="1" r:id="rId1"/>
  </sheets>
  <calcPr calcId="145621"/>
</workbook>
</file>

<file path=xl/calcChain.xml><?xml version="1.0" encoding="utf-8"?>
<calcChain xmlns="http://schemas.openxmlformats.org/spreadsheetml/2006/main">
  <c r="H23" i="1" l="1"/>
  <c r="I23" i="1"/>
  <c r="G23" i="1"/>
  <c r="F24" i="1" l="1"/>
  <c r="F23" i="1"/>
  <c r="E24" i="1"/>
  <c r="E23" i="1"/>
  <c r="D24" i="1"/>
  <c r="D23" i="1"/>
  <c r="C24" i="1"/>
  <c r="C23" i="1"/>
  <c r="I22" i="1" l="1"/>
  <c r="H22" i="1"/>
  <c r="G22" i="1"/>
  <c r="F22" i="1"/>
  <c r="D22" i="1"/>
  <c r="C22" i="1"/>
  <c r="I21" i="1"/>
  <c r="H21" i="1"/>
  <c r="G21" i="1"/>
  <c r="F21" i="1"/>
  <c r="D21" i="1"/>
  <c r="C21" i="1"/>
  <c r="I20" i="1"/>
  <c r="H20" i="1"/>
  <c r="G20" i="1"/>
  <c r="F20" i="1"/>
  <c r="D20" i="1"/>
  <c r="C20" i="1"/>
  <c r="I19" i="1"/>
  <c r="H19" i="1"/>
  <c r="G19" i="1"/>
  <c r="F19" i="1"/>
  <c r="D19" i="1"/>
  <c r="C19" i="1"/>
  <c r="I18" i="1"/>
  <c r="H18" i="1"/>
  <c r="G18" i="1"/>
  <c r="F18" i="1"/>
  <c r="D18" i="1"/>
  <c r="C18" i="1"/>
  <c r="I16" i="1"/>
  <c r="H16" i="1"/>
  <c r="G16" i="1"/>
  <c r="F16" i="1"/>
  <c r="D16" i="1"/>
  <c r="C16" i="1"/>
  <c r="I15" i="1"/>
  <c r="H15" i="1"/>
  <c r="G15" i="1"/>
  <c r="F15" i="1"/>
  <c r="D15" i="1"/>
  <c r="C15" i="1"/>
  <c r="I13" i="1"/>
  <c r="H13" i="1"/>
  <c r="G13" i="1"/>
  <c r="F13" i="1"/>
  <c r="D13" i="1"/>
  <c r="C13" i="1"/>
  <c r="I12" i="1"/>
  <c r="H12" i="1"/>
  <c r="G12" i="1"/>
  <c r="F12" i="1"/>
  <c r="D12" i="1"/>
  <c r="C12" i="1"/>
  <c r="I11" i="1"/>
  <c r="H11" i="1"/>
  <c r="G11" i="1"/>
  <c r="F11" i="1"/>
  <c r="D11" i="1"/>
  <c r="C11" i="1"/>
  <c r="I10" i="1"/>
  <c r="H10" i="1"/>
  <c r="G10" i="1"/>
  <c r="F10" i="1"/>
  <c r="D10" i="1"/>
  <c r="C10" i="1"/>
  <c r="I9" i="1"/>
  <c r="H9" i="1"/>
  <c r="G9" i="1"/>
  <c r="F9" i="1"/>
  <c r="D9" i="1"/>
  <c r="C9" i="1"/>
  <c r="I8" i="1"/>
  <c r="H8" i="1"/>
  <c r="G8" i="1"/>
  <c r="F8" i="1"/>
  <c r="D8" i="1"/>
  <c r="C8" i="1"/>
  <c r="I7" i="1"/>
  <c r="H7" i="1"/>
  <c r="G7" i="1"/>
  <c r="F7" i="1"/>
  <c r="D7" i="1"/>
  <c r="C7" i="1"/>
  <c r="I6" i="1"/>
  <c r="H6" i="1"/>
  <c r="G6" i="1"/>
  <c r="F6" i="1"/>
  <c r="D6" i="1"/>
  <c r="C6" i="1"/>
  <c r="I5" i="1"/>
  <c r="H5" i="1"/>
  <c r="G5" i="1"/>
  <c r="F5" i="1"/>
  <c r="D5" i="1"/>
  <c r="C5" i="1"/>
  <c r="I4" i="1"/>
  <c r="H4" i="1"/>
  <c r="G4" i="1"/>
  <c r="F4" i="1"/>
  <c r="D4" i="1"/>
  <c r="C4" i="1"/>
  <c r="I3" i="1"/>
  <c r="H3" i="1"/>
  <c r="G3" i="1"/>
  <c r="F3" i="1"/>
  <c r="D3" i="1"/>
  <c r="C3" i="1"/>
</calcChain>
</file>

<file path=xl/sharedStrings.xml><?xml version="1.0" encoding="utf-8"?>
<sst xmlns="http://schemas.openxmlformats.org/spreadsheetml/2006/main" count="57" uniqueCount="44">
  <si>
    <t>Institution</t>
  </si>
  <si>
    <t>q_5_7+q_5_8</t>
  </si>
  <si>
    <t>q_6_4+q_6_5</t>
  </si>
  <si>
    <t>q_6_6</t>
  </si>
  <si>
    <t>Brock University</t>
  </si>
  <si>
    <t>Carleton University</t>
  </si>
  <si>
    <t>University of Guelph</t>
  </si>
  <si>
    <t>Lakehead University</t>
  </si>
  <si>
    <t>Laurentian University</t>
  </si>
  <si>
    <t>McMaster University</t>
  </si>
  <si>
    <t>Nipissing University</t>
  </si>
  <si>
    <t>OCAD University</t>
  </si>
  <si>
    <t>University of Ontario Institute of Technology</t>
  </si>
  <si>
    <t>Université d'Ottawa</t>
  </si>
  <si>
    <t>Queen's University</t>
  </si>
  <si>
    <t>Royal Military of College of Canada</t>
  </si>
  <si>
    <t>N/R</t>
  </si>
  <si>
    <t>Ryerson University</t>
  </si>
  <si>
    <t>University of Toronto</t>
  </si>
  <si>
    <t>Trent University</t>
  </si>
  <si>
    <t>University of Waterloo</t>
  </si>
  <si>
    <t>University of Western Ontario</t>
  </si>
  <si>
    <t>Wilfrid Laurier University</t>
  </si>
  <si>
    <t>University of Windsor</t>
  </si>
  <si>
    <t>York University</t>
  </si>
  <si>
    <t>Table VII - Summary of library expenditures Tableau VII - Sommaire de dépenses de la bibliothèque</t>
  </si>
  <si>
    <t>Total materials expenditure (includes binding)</t>
  </si>
  <si>
    <t>Total staffing expenditure (includes finge benefits)</t>
  </si>
  <si>
    <t>Operating expenditure</t>
  </si>
  <si>
    <t>Total</t>
  </si>
  <si>
    <t>%</t>
  </si>
  <si>
    <t>Mat</t>
  </si>
  <si>
    <t>Staff</t>
  </si>
  <si>
    <t>Oper</t>
  </si>
  <si>
    <t>U/A=</t>
  </si>
  <si>
    <t>Unavailable / Non-disponible</t>
  </si>
  <si>
    <t>N/A=</t>
  </si>
  <si>
    <t>Not applicable / Sans objet</t>
  </si>
  <si>
    <t>N/P=</t>
  </si>
  <si>
    <t>Non-pertinent / Not applicable</t>
  </si>
  <si>
    <t>N/R=</t>
  </si>
  <si>
    <t>Did not reply / N’a pas répondu</t>
  </si>
  <si>
    <t>Provincial Average</t>
  </si>
  <si>
    <t>Provincial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</si>
</sst>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.5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vertical="center" wrapText="1"/>
    </xf>
    <xf numFmtId="164" fontId="18" fillId="0" borderId="11" xfId="1" applyNumberFormat="1" applyFont="1" applyBorder="1" applyAlignment="1">
      <alignment horizontal="center" vertical="center" wrapText="1"/>
    </xf>
    <xf numFmtId="164" fontId="19" fillId="0" borderId="12" xfId="1" applyNumberFormat="1" applyFont="1" applyBorder="1" applyAlignment="1">
      <alignment horizontal="center" vertical="center" wrapText="1"/>
    </xf>
    <xf numFmtId="164" fontId="16" fillId="0" borderId="10" xfId="1" applyNumberFormat="1" applyFont="1" applyBorder="1" applyAlignment="1">
      <alignment horizontal="center" vertical="center" wrapText="1"/>
    </xf>
    <xf numFmtId="165" fontId="16" fillId="0" borderId="10" xfId="2" applyNumberFormat="1" applyFont="1" applyBorder="1" applyAlignment="1">
      <alignment horizontal="center" vertical="center" wrapText="1"/>
    </xf>
    <xf numFmtId="165" fontId="20" fillId="0" borderId="13" xfId="2" applyNumberFormat="1" applyFont="1" applyBorder="1" applyAlignment="1">
      <alignment horizontal="center" vertical="center" wrapText="1"/>
    </xf>
    <xf numFmtId="165" fontId="20" fillId="0" borderId="14" xfId="2" applyNumberFormat="1" applyFont="1" applyBorder="1" applyAlignment="1">
      <alignment horizontal="center" vertical="center" wrapText="1"/>
    </xf>
    <xf numFmtId="165" fontId="20" fillId="0" borderId="15" xfId="2" applyNumberFormat="1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9" fontId="22" fillId="0" borderId="10" xfId="2" applyFont="1" applyBorder="1" applyAlignment="1">
      <alignment horizontal="right" vertical="center" wrapText="1"/>
    </xf>
    <xf numFmtId="166" fontId="22" fillId="0" borderId="10" xfId="0" applyNumberFormat="1" applyFont="1" applyBorder="1" applyAlignment="1">
      <alignment horizontal="right" vertical="center" wrapText="1"/>
    </xf>
    <xf numFmtId="10" fontId="21" fillId="0" borderId="10" xfId="2" applyNumberFormat="1" applyFont="1" applyBorder="1" applyAlignment="1">
      <alignment horizontal="right" vertical="center" wrapText="1"/>
    </xf>
    <xf numFmtId="10" fontId="22" fillId="0" borderId="10" xfId="2" applyNumberFormat="1" applyFont="1" applyBorder="1" applyAlignment="1">
      <alignment horizontal="right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topLeftCell="F1" workbookViewId="0">
      <selection activeCell="I3" sqref="I3:I23"/>
    </sheetView>
  </sheetViews>
  <sheetFormatPr defaultRowHeight="15" x14ac:dyDescent="0.25"/>
  <cols>
    <col min="2" max="2" width="41.140625" customWidth="1"/>
    <col min="3" max="3" width="15.5703125" customWidth="1"/>
    <col min="4" max="4" width="16.28515625" customWidth="1"/>
    <col min="5" max="5" width="13.85546875" customWidth="1"/>
    <col min="6" max="6" width="14.28515625" customWidth="1"/>
    <col min="7" max="7" width="8.85546875" customWidth="1"/>
    <col min="8" max="8" width="9.7109375" customWidth="1"/>
    <col min="9" max="9" width="6.85546875" customWidth="1"/>
  </cols>
  <sheetData>
    <row r="1" spans="2:9" ht="51" x14ac:dyDescent="0.25">
      <c r="B1" s="4" t="s">
        <v>25</v>
      </c>
      <c r="C1" s="5" t="s">
        <v>26</v>
      </c>
      <c r="D1" s="5" t="s">
        <v>27</v>
      </c>
      <c r="E1" s="5" t="s">
        <v>28</v>
      </c>
      <c r="F1" s="6" t="s">
        <v>29</v>
      </c>
      <c r="G1" s="9" t="s">
        <v>30</v>
      </c>
      <c r="H1" s="10"/>
      <c r="I1" s="11"/>
    </row>
    <row r="2" spans="2:9" x14ac:dyDescent="0.25">
      <c r="B2" s="1" t="s">
        <v>0</v>
      </c>
      <c r="C2" s="7" t="s">
        <v>1</v>
      </c>
      <c r="D2" s="7" t="s">
        <v>2</v>
      </c>
      <c r="E2" s="7" t="s">
        <v>3</v>
      </c>
      <c r="F2" s="7"/>
      <c r="G2" s="8" t="s">
        <v>31</v>
      </c>
      <c r="H2" s="8" t="s">
        <v>32</v>
      </c>
      <c r="I2" s="8" t="s">
        <v>33</v>
      </c>
    </row>
    <row r="3" spans="2:9" x14ac:dyDescent="0.25">
      <c r="B3" s="2" t="s">
        <v>4</v>
      </c>
      <c r="C3" s="12">
        <f>2559069+4141</f>
        <v>2563210</v>
      </c>
      <c r="D3" s="12">
        <f>3907488+864231</f>
        <v>4771719</v>
      </c>
      <c r="E3" s="12">
        <v>604328</v>
      </c>
      <c r="F3" s="12">
        <f>2559069+4141+3907488+864231+604328</f>
        <v>7939257</v>
      </c>
      <c r="G3" s="15">
        <f>(2559069+4141)/(2559069+4141+3907488+864231+604328)</f>
        <v>0.32285262966043293</v>
      </c>
      <c r="H3" s="15">
        <f>(3907488+864231)/(2559069+4141+3907488+864231+604328)</f>
        <v>0.60102840857778006</v>
      </c>
      <c r="I3" s="15">
        <f>604328/(2559069+4141+3907488+864231+604328)</f>
        <v>7.6118961761787035E-2</v>
      </c>
    </row>
    <row r="4" spans="2:9" x14ac:dyDescent="0.25">
      <c r="B4" s="2" t="s">
        <v>5</v>
      </c>
      <c r="C4" s="12">
        <f>5277751+51239</f>
        <v>5328990</v>
      </c>
      <c r="D4" s="12">
        <f>8600501+1415512</f>
        <v>10016013</v>
      </c>
      <c r="E4" s="12">
        <v>865362</v>
      </c>
      <c r="F4" s="12">
        <f>5277751+51239+8600501+1415512+865362</f>
        <v>16210365</v>
      </c>
      <c r="G4" s="15">
        <f>(5277751+51239)/(5277751+51239+8600501+1415512+865362)</f>
        <v>0.32873966749052225</v>
      </c>
      <c r="H4" s="15">
        <f>(8600501+1415512)/(5277751+51239+8600501+1415512+865362)</f>
        <v>0.61787708049757051</v>
      </c>
      <c r="I4" s="15">
        <f>865362/(5277751+51239+8600501+1415512+865362)</f>
        <v>5.3383252011907197E-2</v>
      </c>
    </row>
    <row r="5" spans="2:9" x14ac:dyDescent="0.25">
      <c r="B5" s="2" t="s">
        <v>6</v>
      </c>
      <c r="C5" s="12">
        <f>6856734+5619</f>
        <v>6862353</v>
      </c>
      <c r="D5" s="12">
        <f>6997264+1896388</f>
        <v>8893652</v>
      </c>
      <c r="E5" s="12">
        <v>809372</v>
      </c>
      <c r="F5" s="12">
        <f>6856734+5619+6997264+1896388+809372</f>
        <v>16565377</v>
      </c>
      <c r="G5" s="15">
        <f>(6856734+5619)/(6856734+5619+6997264+1896388+809372)</f>
        <v>0.41425878807346189</v>
      </c>
      <c r="H5" s="15">
        <f>(6997264+1896388)/(6856734+5619+6997264+1896388+809372)</f>
        <v>0.5368819556596871</v>
      </c>
      <c r="I5" s="15">
        <f>809372/(6856734+5619+6997264+1896388+809372)</f>
        <v>4.8859256266851038E-2</v>
      </c>
    </row>
    <row r="6" spans="2:9" x14ac:dyDescent="0.25">
      <c r="B6" s="2" t="s">
        <v>7</v>
      </c>
      <c r="C6" s="12">
        <f>1736065+23000</f>
        <v>1759065</v>
      </c>
      <c r="D6" s="12">
        <f>2362707+452889</f>
        <v>2815596</v>
      </c>
      <c r="E6" s="12">
        <v>216325</v>
      </c>
      <c r="F6" s="12">
        <f>1736065+23000+2362707+452889+216325</f>
        <v>4790986</v>
      </c>
      <c r="G6" s="15">
        <f>(1736065+23000)/(1736065+23000+2362707+452889+216325)</f>
        <v>0.3671613734625816</v>
      </c>
      <c r="H6" s="15">
        <f>(2362707+452889)/(1736065+23000+2362707+452889+216325)</f>
        <v>0.58768612556997657</v>
      </c>
      <c r="I6" s="15">
        <f>216325/(1736065+23000+2362707+452889+216325)</f>
        <v>4.5152500967441778E-2</v>
      </c>
    </row>
    <row r="7" spans="2:9" x14ac:dyDescent="0.25">
      <c r="B7" s="2" t="s">
        <v>8</v>
      </c>
      <c r="C7" s="12">
        <f>2213229+0</f>
        <v>2213229</v>
      </c>
      <c r="D7" s="12">
        <f>2205612+497174</f>
        <v>2702786</v>
      </c>
      <c r="E7" s="12">
        <v>37000</v>
      </c>
      <c r="F7" s="12">
        <f>2213229+0+2205612+497174+37000</f>
        <v>4953015</v>
      </c>
      <c r="G7" s="15">
        <f>(2213229+0)/(2213229+0+2205612+497174+37000)</f>
        <v>0.44684480059115511</v>
      </c>
      <c r="H7" s="15">
        <f>(2205612+497174)/(2213229+0+2205612+497174+37000)</f>
        <v>0.5456850019634506</v>
      </c>
      <c r="I7" s="15">
        <f>37000/(2213229+0+2205612+497174+37000)</f>
        <v>7.4701974453943712E-3</v>
      </c>
    </row>
    <row r="8" spans="2:9" x14ac:dyDescent="0.25">
      <c r="B8" s="2" t="s">
        <v>9</v>
      </c>
      <c r="C8" s="12">
        <f>9236187+2477</f>
        <v>9238664</v>
      </c>
      <c r="D8" s="12">
        <f>7722241+2473318</f>
        <v>10195559</v>
      </c>
      <c r="E8" s="12">
        <v>2096960</v>
      </c>
      <c r="F8" s="12">
        <f>9236187+2477+7722241+2473318+2096960</f>
        <v>21531183</v>
      </c>
      <c r="G8" s="15">
        <f>(9236187+2477)/(9236187+2477+7722241+2473318+2096960)</f>
        <v>0.42908297235688353</v>
      </c>
      <c r="H8" s="15">
        <f>(7722241+2473318)/(9236187+2477+7722241+2473318+2096960)</f>
        <v>0.47352525869108075</v>
      </c>
      <c r="I8" s="15">
        <f>2096960/(9236187+2477+7722241+2473318+2096960)</f>
        <v>9.7391768952035745E-2</v>
      </c>
    </row>
    <row r="9" spans="2:9" x14ac:dyDescent="0.25">
      <c r="B9" s="2" t="s">
        <v>10</v>
      </c>
      <c r="C9" s="12">
        <f>789621+1673</f>
        <v>791294</v>
      </c>
      <c r="D9" s="12">
        <f>1103460+194611</f>
        <v>1298071</v>
      </c>
      <c r="E9" s="12">
        <v>126800</v>
      </c>
      <c r="F9" s="12">
        <f>789621+1673+1103460+194611+126800</f>
        <v>2216165</v>
      </c>
      <c r="G9" s="15">
        <f>(789621+1673)/(789621+1673+1103460+194611+126800)</f>
        <v>0.35705554414946539</v>
      </c>
      <c r="H9" s="15">
        <f>(1103460+194611)/(789621+1673+1103460+194611+126800)</f>
        <v>0.58572849945739602</v>
      </c>
      <c r="I9" s="15">
        <f>126800/(789621+1673+1103460+194611+126800)</f>
        <v>5.7215956393138596E-2</v>
      </c>
    </row>
    <row r="10" spans="2:9" x14ac:dyDescent="0.25">
      <c r="B10" s="2" t="s">
        <v>11</v>
      </c>
      <c r="C10" s="12">
        <f>463187+8962</f>
        <v>472149</v>
      </c>
      <c r="D10" s="12">
        <f>1184870+189709</f>
        <v>1374579</v>
      </c>
      <c r="E10" s="12">
        <v>76641</v>
      </c>
      <c r="F10" s="12">
        <f>463187+8962+1184870+189709+76641</f>
        <v>1923369</v>
      </c>
      <c r="G10" s="15">
        <f>(463187+8962)/(463187+8962+1184870+189709+76641)</f>
        <v>0.24548019646776048</v>
      </c>
      <c r="H10" s="15">
        <f>(1184870+189709)/(463187+8962+1184870+189709+76641)</f>
        <v>0.71467253553530286</v>
      </c>
      <c r="I10" s="15">
        <f>76641/(463187+8962+1184870+189709+76641)</f>
        <v>3.9847267996936622E-2</v>
      </c>
    </row>
    <row r="11" spans="2:9" ht="30" x14ac:dyDescent="0.25">
      <c r="B11" s="2" t="s">
        <v>12</v>
      </c>
      <c r="C11" s="12">
        <f>1962122+3746</f>
        <v>1965868</v>
      </c>
      <c r="D11" s="12">
        <f>1304570+0</f>
        <v>1304570</v>
      </c>
      <c r="E11" s="12">
        <v>121193</v>
      </c>
      <c r="F11" s="12">
        <f>1962122+3746+1304570+0+121193</f>
        <v>3391631</v>
      </c>
      <c r="G11" s="15">
        <f>(1962122+3746)/(1962122+3746+1304570+0+121193)</f>
        <v>0.57962319603754064</v>
      </c>
      <c r="H11" s="15">
        <f>(1304570+0)/(1962122+3746+1304570+0+121193)</f>
        <v>0.38464384834317178</v>
      </c>
      <c r="I11" s="15">
        <f>121193/(1962122+3746+1304570+0+121193)</f>
        <v>3.573295561928759E-2</v>
      </c>
    </row>
    <row r="12" spans="2:9" x14ac:dyDescent="0.25">
      <c r="B12" s="2" t="s">
        <v>13</v>
      </c>
      <c r="C12" s="12">
        <f>13252403+34058</f>
        <v>13286461</v>
      </c>
      <c r="D12" s="12">
        <f>9947806+2313647</f>
        <v>12261453</v>
      </c>
      <c r="E12" s="12">
        <v>1152799</v>
      </c>
      <c r="F12" s="12">
        <f>13252403+34058+9947806+2313647+1152799</f>
        <v>26700713</v>
      </c>
      <c r="G12" s="15">
        <f>(13252403+34058)/(13252403+34058+9947806+2313647+1152799)</f>
        <v>0.49760697401601223</v>
      </c>
      <c r="H12" s="15">
        <f>(9947806+2313647)/(13252403+34058+9947806+2313647+1152799)</f>
        <v>0.45921818642071466</v>
      </c>
      <c r="I12" s="15">
        <f>1152799/(13252403+34058+9947806+2313647+1152799)</f>
        <v>4.3174839563273087E-2</v>
      </c>
    </row>
    <row r="13" spans="2:9" x14ac:dyDescent="0.25">
      <c r="B13" s="2" t="s">
        <v>14</v>
      </c>
      <c r="C13" s="12">
        <f>9959284+0</f>
        <v>9959284</v>
      </c>
      <c r="D13" s="12">
        <f>8249633+1716432</f>
        <v>9966065</v>
      </c>
      <c r="E13" s="12">
        <v>948563</v>
      </c>
      <c r="F13" s="12">
        <f>9959284+0+8249633+1716432+948563</f>
        <v>20873912</v>
      </c>
      <c r="G13" s="15">
        <f>(9959284+0)/(9959284+0+8249633+1716432+948563)</f>
        <v>0.47711631628992207</v>
      </c>
      <c r="H13" s="15">
        <f>(8249633+1716432)/(9959284+0+8249633+1716432+948563)</f>
        <v>0.47744117154465343</v>
      </c>
      <c r="I13" s="15">
        <f>948563/(9959284+0+8249633+1716432+948563)</f>
        <v>4.5442512165424477E-2</v>
      </c>
    </row>
    <row r="14" spans="2:9" x14ac:dyDescent="0.25">
      <c r="B14" s="2" t="s">
        <v>15</v>
      </c>
      <c r="C14" s="12" t="s">
        <v>16</v>
      </c>
      <c r="D14" s="12" t="s">
        <v>16</v>
      </c>
      <c r="E14" s="12" t="s">
        <v>16</v>
      </c>
      <c r="F14" s="12" t="s">
        <v>16</v>
      </c>
      <c r="G14" s="15" t="s">
        <v>16</v>
      </c>
      <c r="H14" s="15" t="s">
        <v>16</v>
      </c>
      <c r="I14" s="15" t="s">
        <v>16</v>
      </c>
    </row>
    <row r="15" spans="2:9" x14ac:dyDescent="0.25">
      <c r="B15" s="2" t="s">
        <v>17</v>
      </c>
      <c r="C15" s="12">
        <f>3963806+10072</f>
        <v>3973878</v>
      </c>
      <c r="D15" s="12">
        <f>6419301+1452734</f>
        <v>7872035</v>
      </c>
      <c r="E15" s="12">
        <v>844329</v>
      </c>
      <c r="F15" s="12">
        <f>3963806+10072+6419301+1452734+844329</f>
        <v>12690242</v>
      </c>
      <c r="G15" s="15">
        <f>(3963806+10072)/(3963806+10072+6419301+1452734+844329)</f>
        <v>0.31314438290459712</v>
      </c>
      <c r="H15" s="15">
        <f>(6419301+1452734)/(3963806+10072+6419301+1452734+844329)</f>
        <v>0.62032189772267543</v>
      </c>
      <c r="I15" s="15">
        <f>844329/(3963806+10072+6419301+1452734+844329)</f>
        <v>6.6533719372727493E-2</v>
      </c>
    </row>
    <row r="16" spans="2:9" x14ac:dyDescent="0.25">
      <c r="B16" s="2" t="s">
        <v>18</v>
      </c>
      <c r="C16" s="12">
        <f>27475241+276871</f>
        <v>27752112</v>
      </c>
      <c r="D16" s="12">
        <f>38536524+9041945</f>
        <v>47578469</v>
      </c>
      <c r="E16" s="12">
        <v>9049819</v>
      </c>
      <c r="F16" s="12">
        <f>27475241+276871+38536524+9041945+9049819</f>
        <v>84380400</v>
      </c>
      <c r="G16" s="15">
        <f>(27475241+276871)/(27475241+276871+38536524+9041945+9049819)</f>
        <v>0.32889287085626517</v>
      </c>
      <c r="H16" s="15">
        <f>(38536524+9041945)/(27475241+276871+38536524+9041945+9049819)</f>
        <v>0.5638568790856644</v>
      </c>
      <c r="I16" s="15">
        <f>9049819/(27475241+276871+38536524+9041945+9049819)</f>
        <v>0.10725025005807036</v>
      </c>
    </row>
    <row r="17" spans="1:9" x14ac:dyDescent="0.25">
      <c r="B17" s="2" t="s">
        <v>19</v>
      </c>
      <c r="C17" s="12" t="s">
        <v>16</v>
      </c>
      <c r="D17" s="12" t="s">
        <v>16</v>
      </c>
      <c r="E17" s="12" t="s">
        <v>16</v>
      </c>
      <c r="F17" s="12" t="s">
        <v>16</v>
      </c>
      <c r="G17" s="15" t="s">
        <v>16</v>
      </c>
      <c r="H17" s="15" t="s">
        <v>16</v>
      </c>
      <c r="I17" s="15" t="s">
        <v>16</v>
      </c>
    </row>
    <row r="18" spans="1:9" x14ac:dyDescent="0.25">
      <c r="B18" s="2" t="s">
        <v>20</v>
      </c>
      <c r="C18" s="12">
        <f>7672883+40125</f>
        <v>7713008</v>
      </c>
      <c r="D18" s="12">
        <f>7590410+1602124</f>
        <v>9192534</v>
      </c>
      <c r="E18" s="12">
        <v>1169926</v>
      </c>
      <c r="F18" s="12">
        <f>7672883+40125+7590410+1602124+1169926</f>
        <v>18075468</v>
      </c>
      <c r="G18" s="15">
        <f>(7672883+40125)/(7672883+40125+7590410+1602124+1169926)</f>
        <v>0.42671138584074281</v>
      </c>
      <c r="H18" s="15">
        <f>(7590410+1602124)/(7672883+40125+7590410+1602124+1169926)</f>
        <v>0.50856409361019039</v>
      </c>
      <c r="I18" s="15">
        <f>1169926/(7672883+40125+7590410+1602124+1169926)</f>
        <v>6.4724520549066841E-2</v>
      </c>
    </row>
    <row r="19" spans="1:9" x14ac:dyDescent="0.25">
      <c r="B19" s="2" t="s">
        <v>21</v>
      </c>
      <c r="C19" s="12">
        <f>13289917+93933</f>
        <v>13383850</v>
      </c>
      <c r="D19" s="12">
        <f>8862942+11225968</f>
        <v>20088910</v>
      </c>
      <c r="E19" s="12">
        <v>773247</v>
      </c>
      <c r="F19" s="12">
        <f>13289917+93933+8862942+11225968+773247</f>
        <v>34246007</v>
      </c>
      <c r="G19" s="15">
        <f>(13289917+93933)/(13289917+93933+8862942+11225968+773247)</f>
        <v>0.39081490580785083</v>
      </c>
      <c r="H19" s="15">
        <f>(8862942+11225968)/(13289917+93933+8862942+11225968+773247)</f>
        <v>0.58660590707699145</v>
      </c>
      <c r="I19" s="15">
        <f>773247/(13289917+93933+8862942+11225968+773247)</f>
        <v>2.257918711515769E-2</v>
      </c>
    </row>
    <row r="20" spans="1:9" x14ac:dyDescent="0.25">
      <c r="B20" s="2" t="s">
        <v>22</v>
      </c>
      <c r="C20" s="12">
        <f>3430622+4805</f>
        <v>3435427</v>
      </c>
      <c r="D20" s="12">
        <f>3748202+42856</f>
        <v>3791058</v>
      </c>
      <c r="E20" s="12">
        <v>678373</v>
      </c>
      <c r="F20" s="12">
        <f>3430622+4805+3748202+42856+678373</f>
        <v>7904858</v>
      </c>
      <c r="G20" s="15">
        <f>(3430622+4805)/(3430622+4805+3748202+42856+678373)</f>
        <v>0.43459692761084384</v>
      </c>
      <c r="H20" s="15">
        <f>(3748202+42856)/(3430622+4805+3748202+42856+678373)</f>
        <v>0.4795858445528054</v>
      </c>
      <c r="I20" s="15">
        <f>678373/(3430622+4805+3748202+42856+678373)</f>
        <v>8.5817227836350762E-2</v>
      </c>
    </row>
    <row r="21" spans="1:9" x14ac:dyDescent="0.25">
      <c r="B21" s="2" t="s">
        <v>23</v>
      </c>
      <c r="C21" s="12">
        <f>4456804+9053</f>
        <v>4465857</v>
      </c>
      <c r="D21" s="12">
        <f>5546862+1435860</f>
        <v>6982722</v>
      </c>
      <c r="E21" s="12">
        <v>41489</v>
      </c>
      <c r="F21" s="12">
        <f>4456804+9053+5546862+1435860+41489</f>
        <v>11490068</v>
      </c>
      <c r="G21" s="15">
        <f>(4456804+9053)/(4456804+9053+5546862+1435860+41489)</f>
        <v>0.38867106791709155</v>
      </c>
      <c r="H21" s="15">
        <f>(5546862+1435860)/(4456804+9053+5546862+1435860+41489)</f>
        <v>0.60771807442740988</v>
      </c>
      <c r="I21" s="15">
        <f>41489/(4456804+9053+5546862+1435860+41489)</f>
        <v>3.6108576554986444E-3</v>
      </c>
    </row>
    <row r="22" spans="1:9" x14ac:dyDescent="0.25">
      <c r="B22" s="2" t="s">
        <v>24</v>
      </c>
      <c r="C22" s="12">
        <f>10971374+52889</f>
        <v>11024263</v>
      </c>
      <c r="D22" s="12">
        <f>13248807+2938413</f>
        <v>16187220</v>
      </c>
      <c r="E22" s="12">
        <v>2140690</v>
      </c>
      <c r="F22" s="12">
        <f>10971374+52889+13248807+2938413+2140690</f>
        <v>29352173</v>
      </c>
      <c r="G22" s="15">
        <f>(10971374+52889)/(10971374+52889+13248807+2938413+2140690)</f>
        <v>0.37558592339994723</v>
      </c>
      <c r="H22" s="15">
        <f>(13248807+2938413)/(10971374+52889+13248807+2938413+2140690)</f>
        <v>0.55148284932771419</v>
      </c>
      <c r="I22" s="15">
        <f>2140690/(10971374+52889+13248807+2938413+2140690)</f>
        <v>7.293122727233857E-2</v>
      </c>
    </row>
    <row r="23" spans="1:9" x14ac:dyDescent="0.25">
      <c r="B23" s="3" t="s">
        <v>42</v>
      </c>
      <c r="C23" s="14">
        <f>AVERAGE(C3,C4,C5,C6,C7,C8,C9,C10,C11,C12,C13,C15,C16,C18,C19,C20,C21,C22)</f>
        <v>7010497.888888889</v>
      </c>
      <c r="D23" s="14">
        <f>AVERAGE(D3,D4,D5,D6,D7,D8,D9,D10,D11,D12,D13,D15,D16,D18,D19,D20,D21,D22)</f>
        <v>9849611.722222222</v>
      </c>
      <c r="E23" s="14">
        <f>AVERAGE(E3,E4,E5,E6,E7,E8,E9,E10,E11,E12,E13,E15,E16,E18,E19,E20,E21,E22)</f>
        <v>1208512</v>
      </c>
      <c r="F23" s="14">
        <f>AVERAGE(F3,F4,F5,F6,F7,F8,F9,F10,F11,F12,F13,F15,F16,F18,F19,F20,F21,F22)</f>
        <v>18068621.611111112</v>
      </c>
      <c r="G23" s="16">
        <f>AVERAGE(G3:G22)</f>
        <v>0.39579110682961538</v>
      </c>
      <c r="H23" s="16">
        <f t="shared" ref="H23:I23" si="0">AVERAGE(H3:H22)</f>
        <v>0.55014020100356853</v>
      </c>
      <c r="I23" s="16">
        <f t="shared" si="0"/>
        <v>5.4068692166815986E-2</v>
      </c>
    </row>
    <row r="24" spans="1:9" x14ac:dyDescent="0.25">
      <c r="B24" s="3" t="s">
        <v>43</v>
      </c>
      <c r="C24" s="14">
        <f>SUM(C3,C4,C5,C6,C7,C8,C9,C10,C11,C12,C13,C15,C16,C18,C19,C20,C21,C22)</f>
        <v>126188962</v>
      </c>
      <c r="D24" s="14">
        <f>SUM(D3,D4,D5,D6,D7,D8,D9,D10,D11,D12,D13,D15,D16,D18,D19,D20,D21,D22)</f>
        <v>177293011</v>
      </c>
      <c r="E24" s="14">
        <f>SUM(E3,E4,E5,E6,E7,E8,E9,E10,E11,E12,E13,E15,E16,E18,E19,E20,E21,E22)</f>
        <v>21753216</v>
      </c>
      <c r="F24" s="14">
        <f>SUM(F3,F4,F5,F6,F7,F8,F9,F10,F11,F12,F13,F15,F16,F18,F19,F20,F21,F22)</f>
        <v>325235189</v>
      </c>
      <c r="G24" s="13"/>
      <c r="H24" s="13"/>
      <c r="I24" s="13"/>
    </row>
    <row r="26" spans="1:9" x14ac:dyDescent="0.25">
      <c r="A26" t="s">
        <v>34</v>
      </c>
      <c r="B26" t="s">
        <v>35</v>
      </c>
    </row>
    <row r="27" spans="1:9" x14ac:dyDescent="0.25">
      <c r="A27" t="s">
        <v>36</v>
      </c>
      <c r="B27" t="s">
        <v>37</v>
      </c>
    </row>
    <row r="28" spans="1:9" x14ac:dyDescent="0.25">
      <c r="A28" t="s">
        <v>38</v>
      </c>
      <c r="B28" t="s">
        <v>39</v>
      </c>
    </row>
    <row r="29" spans="1:9" x14ac:dyDescent="0.25">
      <c r="A29" t="s">
        <v>40</v>
      </c>
      <c r="B29" t="s">
        <v>41</v>
      </c>
    </row>
  </sheetData>
  <mergeCells count="1">
    <mergeCell ref="G1:I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report_output (54)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Hans_CARL</dc:creator>
  <cp:lastModifiedBy>Alexis Calve-Genest</cp:lastModifiedBy>
  <dcterms:created xsi:type="dcterms:W3CDTF">2014-04-10T18:28:06Z</dcterms:created>
  <dcterms:modified xsi:type="dcterms:W3CDTF">2014-07-29T15:03:23Z</dcterms:modified>
</cp:coreProperties>
</file>