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report_output.php-3" sheetId="1" r:id="rId1"/>
  </sheets>
  <calcPr calcId="145621"/>
</workbook>
</file>

<file path=xl/calcChain.xml><?xml version="1.0" encoding="utf-8"?>
<calcChain xmlns="http://schemas.openxmlformats.org/spreadsheetml/2006/main">
  <c r="D28" i="1" l="1"/>
  <c r="D27" i="1"/>
  <c r="H26" i="1"/>
  <c r="G26" i="1"/>
  <c r="F26" i="1"/>
  <c r="E26" i="1"/>
  <c r="C26" i="1"/>
  <c r="B26" i="1"/>
  <c r="H25" i="1"/>
  <c r="G25" i="1"/>
  <c r="F25" i="1"/>
  <c r="E25" i="1"/>
  <c r="C25" i="1"/>
  <c r="B25" i="1"/>
  <c r="H24" i="1"/>
  <c r="G24" i="1"/>
  <c r="F24" i="1"/>
  <c r="E24" i="1"/>
  <c r="C24" i="1"/>
  <c r="B24" i="1"/>
  <c r="H23" i="1"/>
  <c r="G23" i="1"/>
  <c r="F23" i="1"/>
  <c r="E23" i="1"/>
  <c r="C23" i="1"/>
  <c r="B23" i="1"/>
  <c r="H22" i="1"/>
  <c r="G22" i="1"/>
  <c r="F22" i="1"/>
  <c r="E22" i="1"/>
  <c r="C22" i="1"/>
  <c r="B22" i="1"/>
  <c r="H20" i="1"/>
  <c r="G20" i="1"/>
  <c r="F20" i="1"/>
  <c r="E20" i="1"/>
  <c r="C20" i="1"/>
  <c r="B20" i="1"/>
  <c r="H19" i="1"/>
  <c r="G19" i="1"/>
  <c r="F19" i="1"/>
  <c r="E19" i="1"/>
  <c r="C19" i="1"/>
  <c r="B19" i="1"/>
  <c r="H17" i="1"/>
  <c r="G17" i="1"/>
  <c r="F17" i="1"/>
  <c r="E17" i="1"/>
  <c r="C17" i="1"/>
  <c r="B17" i="1"/>
  <c r="H16" i="1"/>
  <c r="G16" i="1"/>
  <c r="F16" i="1"/>
  <c r="E16" i="1"/>
  <c r="C16" i="1"/>
  <c r="B16" i="1"/>
  <c r="H15" i="1"/>
  <c r="G15" i="1"/>
  <c r="F15" i="1"/>
  <c r="E15" i="1"/>
  <c r="C15" i="1"/>
  <c r="B15" i="1"/>
  <c r="H14" i="1"/>
  <c r="G14" i="1"/>
  <c r="F14" i="1"/>
  <c r="E14" i="1"/>
  <c r="C14" i="1"/>
  <c r="B14" i="1"/>
  <c r="H13" i="1"/>
  <c r="G13" i="1"/>
  <c r="F13" i="1"/>
  <c r="E13" i="1"/>
  <c r="C13" i="1"/>
  <c r="B13" i="1"/>
  <c r="H12" i="1"/>
  <c r="G12" i="1"/>
  <c r="F12" i="1"/>
  <c r="E12" i="1"/>
  <c r="C12" i="1"/>
  <c r="B12" i="1"/>
  <c r="H11" i="1"/>
  <c r="G11" i="1"/>
  <c r="F11" i="1"/>
  <c r="E11" i="1"/>
  <c r="C11" i="1"/>
  <c r="B11" i="1"/>
  <c r="H10" i="1"/>
  <c r="G10" i="1"/>
  <c r="F10" i="1"/>
  <c r="E10" i="1"/>
  <c r="C10" i="1"/>
  <c r="B10" i="1"/>
  <c r="H9" i="1"/>
  <c r="G9" i="1"/>
  <c r="F9" i="1"/>
  <c r="E9" i="1"/>
  <c r="C9" i="1"/>
  <c r="B9" i="1"/>
  <c r="H8" i="1"/>
  <c r="G8" i="1"/>
  <c r="F8" i="1"/>
  <c r="E8" i="1"/>
  <c r="C8" i="1"/>
  <c r="B8" i="1"/>
  <c r="H7" i="1"/>
  <c r="G7" i="1"/>
  <c r="F7" i="1"/>
  <c r="E7" i="1"/>
  <c r="C7" i="1"/>
  <c r="B7" i="1"/>
  <c r="G27" i="1" l="1"/>
  <c r="H28" i="1"/>
  <c r="C27" i="1"/>
  <c r="H27" i="1"/>
  <c r="E28" i="1"/>
  <c r="E27" i="1"/>
  <c r="B28" i="1"/>
  <c r="F28" i="1"/>
  <c r="B27" i="1"/>
  <c r="F27" i="1"/>
  <c r="C28" i="1"/>
  <c r="G28" i="1"/>
</calcChain>
</file>

<file path=xl/sharedStrings.xml><?xml version="1.0" encoding="utf-8"?>
<sst xmlns="http://schemas.openxmlformats.org/spreadsheetml/2006/main" count="58" uniqueCount="45">
  <si>
    <t>Institution</t>
  </si>
  <si>
    <t>q_5_7+q_5_8</t>
  </si>
  <si>
    <t>q_6_4+q_6_5</t>
  </si>
  <si>
    <t>q_6_6</t>
  </si>
  <si>
    <t>q_5_7+q_5_8+q_6_4+q_6_5+q_6_6</t>
  </si>
  <si>
    <t>(q_5_7+q_5_8)/(q_5_7+q_5_8+q_6_4+q_6_5+q_6_6)</t>
  </si>
  <si>
    <t>(q_6_4+q_6_5)/(q_5_7+q_5_8+q_6_4+q_6_5+q_6_6)</t>
  </si>
  <si>
    <t>q_6_6/(q_5_7+q_5_8+q_6_4+q_6_5+q_6_6)</t>
  </si>
  <si>
    <t>Brock University</t>
  </si>
  <si>
    <t>Carleton University</t>
  </si>
  <si>
    <t>University of Guelph</t>
  </si>
  <si>
    <t>Lakehead University</t>
  </si>
  <si>
    <t>Laurentian University</t>
  </si>
  <si>
    <t>McMaster University</t>
  </si>
  <si>
    <t>Nipissing University</t>
  </si>
  <si>
    <t>Ontario College of Art and Design</t>
  </si>
  <si>
    <t>University of Ontario Institute of Technology</t>
  </si>
  <si>
    <t>Université d'Ottawa</t>
  </si>
  <si>
    <t>Queen's University</t>
  </si>
  <si>
    <t>Royal Military of College of Canada</t>
  </si>
  <si>
    <t>N/R</t>
  </si>
  <si>
    <t>Ryerson University</t>
  </si>
  <si>
    <t>University of Toronto</t>
  </si>
  <si>
    <t>Trent University</t>
  </si>
  <si>
    <t>University of Waterloo</t>
  </si>
  <si>
    <t>University of Western Ontario</t>
  </si>
  <si>
    <t>Wilfrid Laurier University</t>
  </si>
  <si>
    <t>University of Windsor</t>
  </si>
  <si>
    <t>York University</t>
  </si>
  <si>
    <t>National Average</t>
  </si>
  <si>
    <t>National Total</t>
  </si>
  <si>
    <t>Total materials expenditure (includes binding)</t>
  </si>
  <si>
    <t>Total dépenses des documents (incluant le reliure)</t>
  </si>
  <si>
    <t>Total staffing expenditure</t>
  </si>
  <si>
    <t>(includes fringe benefits)</t>
  </si>
  <si>
    <t>Masse salariale totale</t>
  </si>
  <si>
    <t>(incluant les avantages sociaux)</t>
  </si>
  <si>
    <t>Operating expenditure</t>
  </si>
  <si>
    <t>Autres dépenses de fonctionne-ment</t>
  </si>
  <si>
    <t>Total</t>
  </si>
  <si>
    <t>%</t>
  </si>
  <si>
    <r>
      <t xml:space="preserve">Material / </t>
    </r>
    <r>
      <rPr>
        <b/>
        <i/>
        <sz val="9.5"/>
        <color theme="1"/>
        <rFont val="Times New Roman"/>
        <family val="1"/>
      </rPr>
      <t>documents</t>
    </r>
  </si>
  <si>
    <t>Salaries /</t>
  </si>
  <si>
    <r>
      <t>S</t>
    </r>
    <r>
      <rPr>
        <b/>
        <i/>
        <sz val="9.5"/>
        <color theme="1"/>
        <rFont val="Times New Roman"/>
        <family val="1"/>
      </rPr>
      <t>alaires</t>
    </r>
  </si>
  <si>
    <r>
      <t>Operating / F</t>
    </r>
    <r>
      <rPr>
        <b/>
        <i/>
        <sz val="9.5"/>
        <color theme="1"/>
        <rFont val="Times New Roman"/>
        <family val="1"/>
      </rPr>
      <t>onctionne-ment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</si>
</sst>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.5"/>
      <color theme="1"/>
      <name val="Times New Roman"/>
      <family val="1"/>
    </font>
    <font>
      <b/>
      <i/>
      <sz val="9.5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16" fillId="0" borderId="10" xfId="0" applyFont="1" applyBorder="1" applyAlignment="1">
      <alignment wrapText="1"/>
    </xf>
    <xf numFmtId="0" fontId="18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1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18" fillId="0" borderId="13" xfId="0" applyFont="1" applyBorder="1" applyAlignment="1">
      <alignment vertical="center" wrapText="1"/>
    </xf>
    <xf numFmtId="0" fontId="18" fillId="0" borderId="16" xfId="0" applyFont="1" applyBorder="1" applyAlignment="1">
      <alignment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showGridLines="0" tabSelected="1" topLeftCell="A16" workbookViewId="0">
      <selection activeCell="C33" sqref="C33"/>
    </sheetView>
  </sheetViews>
  <sheetFormatPr defaultRowHeight="15" x14ac:dyDescent="0.25"/>
  <cols>
    <col min="1" max="1" width="36.5703125" bestFit="1" customWidth="1"/>
    <col min="2" max="4" width="29.85546875" customWidth="1"/>
    <col min="5" max="5" width="18" customWidth="1"/>
    <col min="6" max="6" width="19.140625" customWidth="1"/>
    <col min="7" max="7" width="17.7109375" customWidth="1"/>
    <col min="8" max="8" width="16.85546875" customWidth="1"/>
  </cols>
  <sheetData>
    <row r="1" spans="1:8" ht="25.5" x14ac:dyDescent="0.25">
      <c r="B1" s="4" t="s">
        <v>31</v>
      </c>
      <c r="C1" s="8" t="s">
        <v>33</v>
      </c>
      <c r="D1" s="8" t="s">
        <v>37</v>
      </c>
      <c r="E1" s="14" t="s">
        <v>39</v>
      </c>
      <c r="F1" s="18" t="s">
        <v>40</v>
      </c>
      <c r="G1" s="17"/>
      <c r="H1" s="13"/>
    </row>
    <row r="2" spans="1:8" ht="27" x14ac:dyDescent="0.25">
      <c r="B2" s="5" t="s">
        <v>32</v>
      </c>
      <c r="C2" s="9" t="s">
        <v>34</v>
      </c>
      <c r="D2" s="10" t="s">
        <v>38</v>
      </c>
      <c r="E2" s="15"/>
      <c r="F2" s="19"/>
      <c r="G2" s="20"/>
      <c r="H2" s="21"/>
    </row>
    <row r="3" spans="1:8" ht="15.75" thickBot="1" x14ac:dyDescent="0.3">
      <c r="B3" s="6"/>
      <c r="C3" s="10" t="s">
        <v>35</v>
      </c>
      <c r="D3" s="12"/>
      <c r="E3" s="15"/>
      <c r="F3" s="22"/>
      <c r="G3" s="23"/>
      <c r="H3" s="24"/>
    </row>
    <row r="4" spans="1:8" x14ac:dyDescent="0.25">
      <c r="B4" s="6"/>
      <c r="C4" s="10" t="s">
        <v>36</v>
      </c>
      <c r="D4" s="12"/>
      <c r="E4" s="15"/>
      <c r="F4" s="25" t="s">
        <v>41</v>
      </c>
      <c r="G4" s="26" t="s">
        <v>42</v>
      </c>
      <c r="H4" s="25" t="s">
        <v>44</v>
      </c>
    </row>
    <row r="5" spans="1:8" ht="15.75" thickBot="1" x14ac:dyDescent="0.3">
      <c r="B5" s="7"/>
      <c r="C5" s="11"/>
      <c r="D5" s="11"/>
      <c r="E5" s="16"/>
      <c r="F5" s="27"/>
      <c r="G5" s="28" t="s">
        <v>43</v>
      </c>
      <c r="H5" s="27"/>
    </row>
    <row r="6" spans="1:8" ht="30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</row>
    <row r="7" spans="1:8" x14ac:dyDescent="0.25">
      <c r="A7" s="2" t="s">
        <v>8</v>
      </c>
      <c r="B7" s="2">
        <f>2615518+4064</f>
        <v>2619582</v>
      </c>
      <c r="C7" s="2">
        <f>3536153+747496</f>
        <v>4283649</v>
      </c>
      <c r="D7" s="2">
        <v>614428</v>
      </c>
      <c r="E7" s="2">
        <f>2615518+4064+3536153+747496+614428</f>
        <v>7517659</v>
      </c>
      <c r="F7" s="2">
        <f>(2615518+4064)/(2615518+4064+3536153+747496+614428)</f>
        <v>0.34845714603442374</v>
      </c>
      <c r="G7" s="2">
        <f>(3536153+747496)/(2615518+4064+3536153+747496+614428)</f>
        <v>0.56981155968899366</v>
      </c>
      <c r="H7" s="2">
        <f>614428/(2615518+4064+3536153+747496+614428)</f>
        <v>8.1731294276582642E-2</v>
      </c>
    </row>
    <row r="8" spans="1:8" x14ac:dyDescent="0.25">
      <c r="A8" s="2" t="s">
        <v>9</v>
      </c>
      <c r="B8" s="2">
        <f>5003289+59064</f>
        <v>5062353</v>
      </c>
      <c r="C8" s="2">
        <f>8135955+1414901</f>
        <v>9550856</v>
      </c>
      <c r="D8" s="2">
        <v>735727</v>
      </c>
      <c r="E8" s="2">
        <f>5003289+59064+8135955+1414901+735727</f>
        <v>15348936</v>
      </c>
      <c r="F8" s="2">
        <f>(5003289+59064)/(5003289+59064+8135955+1414901+735727)</f>
        <v>0.3298178453542317</v>
      </c>
      <c r="G8" s="2">
        <f>(8135955+1414901)/(5003289+59064+8135955+1414901+735727)</f>
        <v>0.62224873437481265</v>
      </c>
      <c r="H8" s="2">
        <f>735727/(5003289+59064+8135955+1414901+735727)</f>
        <v>4.7933420270955589E-2</v>
      </c>
    </row>
    <row r="9" spans="1:8" x14ac:dyDescent="0.25">
      <c r="A9" s="2" t="s">
        <v>10</v>
      </c>
      <c r="B9" s="2">
        <f>6557456+12956</f>
        <v>6570412</v>
      </c>
      <c r="C9" s="2">
        <f>6753943+1819717</f>
        <v>8573660</v>
      </c>
      <c r="D9" s="2">
        <v>1591661</v>
      </c>
      <c r="E9" s="2">
        <f>6557456+12956+6753943+1819717+1591661</f>
        <v>16735733</v>
      </c>
      <c r="F9" s="2">
        <f>(6557456+12956)/(6557456+12956+6753943+1819717+1591661)</f>
        <v>0.39259780255815507</v>
      </c>
      <c r="G9" s="2">
        <f>(6753943+1819717)/(6557456+12956+6753943+1819717+1591661)</f>
        <v>0.51229665291624815</v>
      </c>
      <c r="H9" s="2">
        <f>1591661/(6557456+12956+6753943+1819717+1591661)</f>
        <v>9.5105544525596816E-2</v>
      </c>
    </row>
    <row r="10" spans="1:8" x14ac:dyDescent="0.25">
      <c r="A10" s="2" t="s">
        <v>11</v>
      </c>
      <c r="B10" s="2">
        <f>1533781+19825</f>
        <v>1553606</v>
      </c>
      <c r="C10" s="2">
        <f>2020089+368387</f>
        <v>2388476</v>
      </c>
      <c r="D10" s="2">
        <v>318103</v>
      </c>
      <c r="E10" s="2">
        <f>1533781+19825+2020089+368387+318103</f>
        <v>4260185</v>
      </c>
      <c r="F10" s="2">
        <f>(1533781+19825)/(1533781+19825+2020089+368387+318103)</f>
        <v>0.36468040707152388</v>
      </c>
      <c r="G10" s="2">
        <f>(2020089+368387)/(1533781+19825+2020089+368387+318103)</f>
        <v>0.56065076986093332</v>
      </c>
      <c r="H10" s="2">
        <f>318103/(1533781+19825+2020089+368387+318103)</f>
        <v>7.4668823067542842E-2</v>
      </c>
    </row>
    <row r="11" spans="1:8" x14ac:dyDescent="0.25">
      <c r="A11" s="2" t="s">
        <v>12</v>
      </c>
      <c r="B11" s="2">
        <f>1985686+4715</f>
        <v>1990401</v>
      </c>
      <c r="C11" s="2">
        <f>2141656+499622</f>
        <v>2641278</v>
      </c>
      <c r="D11" s="2">
        <v>80442</v>
      </c>
      <c r="E11" s="2">
        <f>1985686+4715+2141656+499622+80442</f>
        <v>4712121</v>
      </c>
      <c r="F11" s="2">
        <f>(1985686+4715)/(1985686+4715+2141656+499622+80442)</f>
        <v>0.42240023123345094</v>
      </c>
      <c r="G11" s="2">
        <f>(2141656+499622)/(1985686+4715+2141656+499622+80442)</f>
        <v>0.56052847539356476</v>
      </c>
      <c r="H11" s="2">
        <f>80442/(1985686+4715+2141656+499622+80442)</f>
        <v>1.7071293372984266E-2</v>
      </c>
    </row>
    <row r="12" spans="1:8" x14ac:dyDescent="0.25">
      <c r="A12" s="2" t="s">
        <v>13</v>
      </c>
      <c r="B12" s="2">
        <f>8698475+3399</f>
        <v>8701874</v>
      </c>
      <c r="C12" s="2">
        <f>8425023+2354962</f>
        <v>10779985</v>
      </c>
      <c r="D12" s="2">
        <v>1318918</v>
      </c>
      <c r="E12" s="2">
        <f>8698475+3399+8425023+2354962+1318918</f>
        <v>20800777</v>
      </c>
      <c r="F12" s="2">
        <f>(8698475+3399)/(8698475+3399+8425023+2354962+1318918)</f>
        <v>0.41834369937238403</v>
      </c>
      <c r="G12" s="2">
        <f>(8425023+2354962)/(8698475+3399+8425023+2354962+1318918)</f>
        <v>0.51824915001973249</v>
      </c>
      <c r="H12" s="2">
        <f>1318918/(8698475+3399+8425023+2354962+1318918)</f>
        <v>6.3407150607883545E-2</v>
      </c>
    </row>
    <row r="13" spans="1:8" x14ac:dyDescent="0.25">
      <c r="A13" s="2" t="s">
        <v>14</v>
      </c>
      <c r="B13" s="2">
        <f>676725+1937</f>
        <v>678662</v>
      </c>
      <c r="C13" s="2">
        <f>1070215+218965</f>
        <v>1289180</v>
      </c>
      <c r="D13" s="2">
        <v>101940</v>
      </c>
      <c r="E13" s="2">
        <f>676725+1937+1070215+218965+101940</f>
        <v>2069782</v>
      </c>
      <c r="F13" s="2">
        <f>(676725+1937)/(676725+1937+1070215+218965+101940)</f>
        <v>0.32789057011801243</v>
      </c>
      <c r="G13" s="2">
        <f>(1070215+218965)/(676725+1937+1070215+218965+101940)</f>
        <v>0.62285786619073891</v>
      </c>
      <c r="H13" s="2">
        <f>101940/(676725+1937+1070215+218965+101940)</f>
        <v>4.9251563691248647E-2</v>
      </c>
    </row>
    <row r="14" spans="1:8" x14ac:dyDescent="0.25">
      <c r="A14" s="2" t="s">
        <v>15</v>
      </c>
      <c r="B14" s="2">
        <f>429933+9804</f>
        <v>439737</v>
      </c>
      <c r="C14" s="2">
        <f>1127410+185659</f>
        <v>1313069</v>
      </c>
      <c r="D14" s="2">
        <v>98046</v>
      </c>
      <c r="E14" s="2">
        <f>429933+9804+1127410+185659+98046</f>
        <v>1850852</v>
      </c>
      <c r="F14" s="2">
        <f>(429933+9804)/(429933+9804+1127410+185659+98046)</f>
        <v>0.23758625757218838</v>
      </c>
      <c r="G14" s="2">
        <f>(1127410+185659)/(429933+9804+1127410+185659+98046)</f>
        <v>0.70944030100731992</v>
      </c>
      <c r="H14" s="2">
        <f>98046/(429933+9804+1127410+185659+98046)</f>
        <v>5.2973441420491749E-2</v>
      </c>
    </row>
    <row r="15" spans="1:8" ht="30" x14ac:dyDescent="0.25">
      <c r="A15" s="2" t="s">
        <v>16</v>
      </c>
      <c r="B15" s="2">
        <f>2338951+2710</f>
        <v>2341661</v>
      </c>
      <c r="C15" s="2">
        <f>1429340+276176</f>
        <v>1705516</v>
      </c>
      <c r="D15" s="2">
        <v>87786</v>
      </c>
      <c r="E15" s="2">
        <f>2338951+2710+1429340+276176+87786</f>
        <v>4134963</v>
      </c>
      <c r="F15" s="2">
        <f>(2338951+2710)/(2338951+2710+1429340+276176+87786)</f>
        <v>0.56630760662187307</v>
      </c>
      <c r="G15" s="2">
        <f>(1429340+276176)/(2338951+2710+1429340+276176+87786)</f>
        <v>0.41246221550229106</v>
      </c>
      <c r="H15" s="2">
        <f>87786/(2338951+2710+1429340+276176+87786)</f>
        <v>2.1230177875835889E-2</v>
      </c>
    </row>
    <row r="16" spans="1:8" x14ac:dyDescent="0.25">
      <c r="A16" s="2" t="s">
        <v>17</v>
      </c>
      <c r="B16" s="2">
        <f>12055313+124669</f>
        <v>12179982</v>
      </c>
      <c r="C16" s="2">
        <f>9777340+2282212</f>
        <v>12059552</v>
      </c>
      <c r="D16" s="2">
        <v>2122414</v>
      </c>
      <c r="E16" s="2">
        <f>12055313+124669+9777340+2282212+2122414</f>
        <v>26361948</v>
      </c>
      <c r="F16" s="2">
        <f>(12055313+124669)/(12055313+124669+9777340+2282212+2122414)</f>
        <v>0.46202890620981424</v>
      </c>
      <c r="G16" s="2">
        <f>(9777340+2282212)/(12055313+124669+9777340+2282212+2122414)</f>
        <v>0.45746057916509053</v>
      </c>
      <c r="H16" s="2">
        <f>2122414/(12055313+124669+9777340+2282212+2122414)</f>
        <v>8.0510514625095231E-2</v>
      </c>
    </row>
    <row r="17" spans="1:8" x14ac:dyDescent="0.25">
      <c r="A17" s="2" t="s">
        <v>18</v>
      </c>
      <c r="B17" s="2">
        <f>9679452+68360</f>
        <v>9747812</v>
      </c>
      <c r="C17" s="2">
        <f>8318066+1604660</f>
        <v>9922726</v>
      </c>
      <c r="D17" s="2">
        <v>1180652</v>
      </c>
      <c r="E17" s="2">
        <f>9679452+68360+8318066+1604660+1180652</f>
        <v>20851190</v>
      </c>
      <c r="F17" s="2">
        <f>(9679452+68360)/(9679452+68360+8318066+1604660+1180652)</f>
        <v>0.46749427730503629</v>
      </c>
      <c r="G17" s="2">
        <f>(8318066+1604660)/(9679452+68360+8318066+1604660+1180652)</f>
        <v>0.47588295919801221</v>
      </c>
      <c r="H17" s="2">
        <f>1180652/(9679452+68360+8318066+1604660+1180652)</f>
        <v>5.6622763496951493E-2</v>
      </c>
    </row>
    <row r="18" spans="1:8" x14ac:dyDescent="0.25">
      <c r="A18" s="2" t="s">
        <v>19</v>
      </c>
      <c r="B18" s="2" t="s">
        <v>20</v>
      </c>
      <c r="C18" s="2" t="s">
        <v>20</v>
      </c>
      <c r="D18" s="2" t="s">
        <v>20</v>
      </c>
      <c r="E18" s="2" t="s">
        <v>20</v>
      </c>
      <c r="F18" s="2" t="s">
        <v>20</v>
      </c>
      <c r="G18" s="2" t="s">
        <v>20</v>
      </c>
      <c r="H18" s="2" t="s">
        <v>20</v>
      </c>
    </row>
    <row r="19" spans="1:8" x14ac:dyDescent="0.25">
      <c r="A19" s="2" t="s">
        <v>21</v>
      </c>
      <c r="B19" s="2">
        <f>3895359+22472</f>
        <v>3917831</v>
      </c>
      <c r="C19" s="2">
        <f>5723975+1337001</f>
        <v>7060976</v>
      </c>
      <c r="D19" s="2">
        <v>678797</v>
      </c>
      <c r="E19" s="2">
        <f>3895359+22472+5723975+1337001+678797</f>
        <v>11657604</v>
      </c>
      <c r="F19" s="2">
        <f>(3895359+22472)/(3895359+22472+5723975+1337001+678797)</f>
        <v>0.33607514888994344</v>
      </c>
      <c r="G19" s="2">
        <f>(5723975+1337001)/(3895359+22472+5723975+1337001+678797)</f>
        <v>0.60569701973064105</v>
      </c>
      <c r="H19" s="2">
        <f>678797/(3895359+22472+5723975+1337001+678797)</f>
        <v>5.8227831379415528E-2</v>
      </c>
    </row>
    <row r="20" spans="1:8" x14ac:dyDescent="0.25">
      <c r="A20" s="2" t="s">
        <v>22</v>
      </c>
      <c r="B20" s="2">
        <f>28469123+313879</f>
        <v>28783002</v>
      </c>
      <c r="C20" s="2">
        <f>36705348+8294499</f>
        <v>44999847</v>
      </c>
      <c r="D20" s="2">
        <v>6536809</v>
      </c>
      <c r="E20" s="2">
        <f>28469123+313879+36705348+8294499+6536809</f>
        <v>80319658</v>
      </c>
      <c r="F20" s="2">
        <f>(28469123+313879)/(28469123+313879+36705348+8294499+6536809)</f>
        <v>0.35835563443260676</v>
      </c>
      <c r="G20" s="2">
        <f>(36705348+8294499)/(28469123+313879+36705348+8294499+6536809)</f>
        <v>0.56025944482980738</v>
      </c>
      <c r="H20" s="2">
        <f>6536809/(28469123+313879+36705348+8294499+6536809)</f>
        <v>8.1384920737585811E-2</v>
      </c>
    </row>
    <row r="21" spans="1:8" x14ac:dyDescent="0.25">
      <c r="A21" s="2" t="s">
        <v>23</v>
      </c>
      <c r="B21" s="2" t="s">
        <v>20</v>
      </c>
      <c r="C21" s="2" t="s">
        <v>20</v>
      </c>
      <c r="D21" s="2" t="s">
        <v>20</v>
      </c>
      <c r="E21" s="2" t="s">
        <v>20</v>
      </c>
      <c r="F21" s="2" t="s">
        <v>20</v>
      </c>
      <c r="G21" s="2" t="s">
        <v>20</v>
      </c>
      <c r="H21" s="2" t="s">
        <v>20</v>
      </c>
    </row>
    <row r="22" spans="1:8" x14ac:dyDescent="0.25">
      <c r="A22" s="2" t="s">
        <v>24</v>
      </c>
      <c r="B22" s="2">
        <f>7314359+46504</f>
        <v>7360863</v>
      </c>
      <c r="C22" s="2">
        <f>7595793+1566507</f>
        <v>9162300</v>
      </c>
      <c r="D22" s="2">
        <v>1250383</v>
      </c>
      <c r="E22" s="2">
        <f>7314359+46504+7595793+1566507+1250383</f>
        <v>17773546</v>
      </c>
      <c r="F22" s="2">
        <f>(7314359+46504)/(7314359+46504+7595793+1566507+1250383)</f>
        <v>0.4141471262965758</v>
      </c>
      <c r="G22" s="2">
        <f>(7595793+1566507)/(7314359+46504+7595793+1566507+1250383)</f>
        <v>0.51550208382727902</v>
      </c>
      <c r="H22" s="2">
        <f>1250383/(7314359+46504+7595793+1566507+1250383)</f>
        <v>7.0350789876145139E-2</v>
      </c>
    </row>
    <row r="23" spans="1:8" x14ac:dyDescent="0.25">
      <c r="A23" s="2" t="s">
        <v>25</v>
      </c>
      <c r="B23" s="2">
        <f>11948015+94570</f>
        <v>12042585</v>
      </c>
      <c r="C23" s="2">
        <f>9496864+2539759</f>
        <v>12036623</v>
      </c>
      <c r="D23" s="2">
        <v>711875</v>
      </c>
      <c r="E23" s="2">
        <f>11948015+94570+9496864+2539759+711875</f>
        <v>24791083</v>
      </c>
      <c r="F23" s="2">
        <f>(11948015+94570)/(11948015+94570+9496864+2539759+711875)</f>
        <v>0.48576276397445001</v>
      </c>
      <c r="G23" s="2">
        <f>(9496864+2539759)/(11948015+94570+9496864+2539759+711875)</f>
        <v>0.485522274279022</v>
      </c>
      <c r="H23" s="2">
        <f>711875/(11948015+94570+9496864+2539759+711875)</f>
        <v>2.8714961746527976E-2</v>
      </c>
    </row>
    <row r="24" spans="1:8" x14ac:dyDescent="0.25">
      <c r="A24" s="2" t="s">
        <v>26</v>
      </c>
      <c r="B24" s="2">
        <f>2963375+12541</f>
        <v>2975916</v>
      </c>
      <c r="C24" s="2">
        <f>3846920+38020</f>
        <v>3884940</v>
      </c>
      <c r="D24" s="2">
        <v>726683</v>
      </c>
      <c r="E24" s="2">
        <f>2963375+12541+3846920+38020+726683</f>
        <v>7587539</v>
      </c>
      <c r="F24" s="2">
        <f>(2963375+12541)/(2963375+12541+3846920+38020+726683)</f>
        <v>0.39221096590080129</v>
      </c>
      <c r="G24" s="2">
        <f>(3846920+38020)/(2963375+12541+3846920+38020+726683)</f>
        <v>0.51201581962214626</v>
      </c>
      <c r="H24" s="2">
        <f>726683/(2963375+12541+3846920+38020+726683)</f>
        <v>9.5773214477052435E-2</v>
      </c>
    </row>
    <row r="25" spans="1:8" x14ac:dyDescent="0.25">
      <c r="A25" s="2" t="s">
        <v>27</v>
      </c>
      <c r="B25" s="2">
        <f>4778462+11513</f>
        <v>4789975</v>
      </c>
      <c r="C25" s="2">
        <f>5963994+1357754</f>
        <v>7321748</v>
      </c>
      <c r="D25" s="2">
        <v>226362</v>
      </c>
      <c r="E25" s="2">
        <f>4778462+11513+5963994+1357754+226362</f>
        <v>12338085</v>
      </c>
      <c r="F25" s="2">
        <f>(4778462+11513)/(4778462+11513+5963994+1357754+226362)</f>
        <v>0.38822677911523545</v>
      </c>
      <c r="G25" s="2">
        <f>(5963994+1357754)/(4778462+11513+5963994+1357754+226362)</f>
        <v>0.59342661361143156</v>
      </c>
      <c r="H25" s="2">
        <f>226362/(4778462+11513+5963994+1357754+226362)</f>
        <v>1.8346607273332937E-2</v>
      </c>
    </row>
    <row r="26" spans="1:8" x14ac:dyDescent="0.25">
      <c r="A26" s="2" t="s">
        <v>28</v>
      </c>
      <c r="B26" s="2">
        <f>12005117+122665</f>
        <v>12127782</v>
      </c>
      <c r="C26" s="2">
        <f>12945217+2839176</f>
        <v>15784393</v>
      </c>
      <c r="D26" s="2">
        <v>3735150</v>
      </c>
      <c r="E26" s="2">
        <f>12005117+122665+12945217+2839176+3735150</f>
        <v>31647325</v>
      </c>
      <c r="F26" s="2">
        <f>(12005117+122665)/(12005117+122665+12945217+2839176+3735150)</f>
        <v>0.38321665417219308</v>
      </c>
      <c r="G26" s="2">
        <f>(12945217+2839176)/(12005117+122665+12945217+2839176+3735150)</f>
        <v>0.49875915262980364</v>
      </c>
      <c r="H26" s="2">
        <f>3735150/(12005117+122665+12945217+2839176+3735150)</f>
        <v>0.11802419319800331</v>
      </c>
    </row>
    <row r="27" spans="1:8" x14ac:dyDescent="0.25">
      <c r="A27" s="3" t="s">
        <v>29</v>
      </c>
      <c r="B27" s="2">
        <f>AVERAGE(B7,B8,B9,B10,B11,B12,B13,B14,B15,B16,B17,B19,B20,B22,B23,B24,B25,B26)</f>
        <v>6882446.444444444</v>
      </c>
      <c r="C27" s="2">
        <f>AVERAGE(C7,C8,C9,C10,C11,C12,C13,C14,C15,C16,C17,C19,C20,C22,C23,C24,C25,C26)</f>
        <v>9153265.222222222</v>
      </c>
      <c r="D27" s="2">
        <f>AVERAGE(D7,D8,D9,D10,D11,D12,D13,D14,D15,D16,D17,D19,D20,D22,D23,D24,D25,D26)</f>
        <v>1228676.4444444445</v>
      </c>
      <c r="E27" s="2">
        <f>AVERAGE(E7,E8,E9,E10,E11,E12,E13,E14,E15,E16,E17,E19,E20,E22,E23,E24,E25,E26)</f>
        <v>17264388.111111112</v>
      </c>
      <c r="F27" s="2">
        <f>AVERAGE(F7,F8,F9,F10,F11,F12,F13,F14,F15,F16,F17,F19,F20,F22,F23,F24,F25,F26)</f>
        <v>0.39419999012404999</v>
      </c>
      <c r="G27" s="2">
        <f>AVERAGE(G7,G8,G9,G10,G11,G12,G13,G14,G15,G16,G17,G19,G20,G22,G23,G24,G25,G26)</f>
        <v>0.54405953732488155</v>
      </c>
      <c r="H27" s="2">
        <f>AVERAGE(H7,H8,H9,H10,H11,H12,H13,H14,H15,H16,H17,H19,H20,H22,H23,H24,H25,H26)</f>
        <v>6.1740472551068452E-2</v>
      </c>
    </row>
    <row r="28" spans="1:8" x14ac:dyDescent="0.25">
      <c r="A28" s="3" t="s">
        <v>30</v>
      </c>
      <c r="B28" s="2">
        <f>SUM(B7,B8,B9,B10,B11,B12,B13,B14,B15,B16,B17,B19,B20,B22,B23,B24,B25,B26)</f>
        <v>123884036</v>
      </c>
      <c r="C28" s="2">
        <f>SUM(C7,C8,C9,C10,C11,C12,C13,C14,C15,C16,C17,C19,C20,C22,C23,C24,C25,C26)</f>
        <v>164758774</v>
      </c>
      <c r="D28" s="2">
        <f>SUM(D7,D8,D9,D10,D11,D12,D13,D14,D15,D16,D17,D19,D20,D22,D23,D24,D25,D26)</f>
        <v>22116176</v>
      </c>
      <c r="E28" s="2">
        <f>SUM(E7,E8,E9,E10,E11,E12,E13,E14,E15,E16,E17,E19,E20,E22,E23,E24,E25,E26)</f>
        <v>310758986</v>
      </c>
      <c r="F28" s="2">
        <f>SUM(F7,F8,F9,F10,F11,F12,F13,F14,F15,F16,F17,F19,F20,F22,F23,F24,F25,F26)</f>
        <v>7.0955998222328995</v>
      </c>
      <c r="G28" s="2">
        <f>SUM(G7,G8,G9,G10,G11,G12,G13,G14,G15,G16,G17,G19,G20,G22,G23,G24,G25,G26)</f>
        <v>9.7930716718478674</v>
      </c>
      <c r="H28" s="2">
        <f>SUM(H7,H8,H9,H10,H11,H12,H13,H14,H15,H16,H17,H19,H20,H22,H23,H24,H25,H26)</f>
        <v>1.1113285059192322</v>
      </c>
    </row>
  </sheetData>
  <mergeCells count="4">
    <mergeCell ref="E1:E5"/>
    <mergeCell ref="F1:H3"/>
    <mergeCell ref="F4:F5"/>
    <mergeCell ref="H4:H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report_output.php-3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kmccolgan</dc:creator>
  <cp:lastModifiedBy>kmccolgan</cp:lastModifiedBy>
  <dcterms:created xsi:type="dcterms:W3CDTF">2011-11-01T19:26:22Z</dcterms:created>
  <dcterms:modified xsi:type="dcterms:W3CDTF">2011-11-01T19:26:22Z</dcterms:modified>
</cp:coreProperties>
</file>